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uttek/Documents/AAA/Finance/"/>
    </mc:Choice>
  </mc:AlternateContent>
  <xr:revisionPtr revIDLastSave="0" documentId="8_{66B71379-FD1C-4C4D-B0EA-47EB35D93414}" xr6:coauthVersionLast="47" xr6:coauthVersionMax="47" xr10:uidLastSave="{00000000-0000-0000-0000-000000000000}"/>
  <bookViews>
    <workbookView xWindow="0" yWindow="460" windowWidth="28800" windowHeight="16680" activeTab="1" xr2:uid="{ED6D4F29-661B-AD4F-BC3D-872AE31751DC}"/>
  </bookViews>
  <sheets>
    <sheet name="Sales Forcast" sheetId="1" r:id="rId1"/>
    <sheet name="Income Statement (Pro Forma)" sheetId="2" r:id="rId2"/>
    <sheet name="Statement of Cash Flows" sheetId="3" r:id="rId3"/>
    <sheet name="Balance Sheet" sheetId="4" r:id="rId4"/>
    <sheet name="Breakeven Analysis" sheetId="5" r:id="rId5"/>
    <sheet name="Financial Ratio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  <c r="F13" i="2"/>
  <c r="F14" i="2"/>
  <c r="F19" i="2"/>
  <c r="F22" i="2"/>
  <c r="F23" i="2"/>
  <c r="F24" i="2"/>
  <c r="D7" i="1"/>
  <c r="E7" i="1"/>
  <c r="G7" i="2"/>
  <c r="G11" i="2"/>
  <c r="G14" i="2"/>
  <c r="G22" i="2"/>
  <c r="G23" i="2"/>
  <c r="G24" i="2"/>
  <c r="G37" i="4"/>
  <c r="F37" i="4"/>
  <c r="E7" i="2"/>
  <c r="E13" i="2"/>
  <c r="E14" i="2"/>
  <c r="I12" i="2"/>
  <c r="E19" i="2"/>
  <c r="E22" i="2"/>
  <c r="E23" i="2"/>
  <c r="E24" i="2"/>
  <c r="E37" i="4"/>
  <c r="D8" i="3"/>
  <c r="D9" i="3"/>
  <c r="D10" i="3"/>
  <c r="D11" i="3"/>
  <c r="D12" i="3"/>
  <c r="G13" i="4"/>
  <c r="D13" i="3"/>
  <c r="D14" i="3"/>
  <c r="G17" i="4"/>
  <c r="D17" i="3"/>
  <c r="D18" i="3"/>
  <c r="D23" i="3"/>
  <c r="D25" i="3"/>
  <c r="G14" i="4"/>
  <c r="G18" i="4"/>
  <c r="G20" i="4"/>
  <c r="G27" i="4"/>
  <c r="G28" i="4"/>
  <c r="G33" i="4"/>
  <c r="G36" i="4"/>
  <c r="H4" i="6"/>
  <c r="E13" i="4"/>
  <c r="E14" i="4"/>
  <c r="E18" i="4"/>
  <c r="E20" i="4"/>
  <c r="E27" i="4"/>
  <c r="E28" i="4"/>
  <c r="E33" i="4"/>
  <c r="E36" i="4"/>
  <c r="F13" i="4"/>
  <c r="F14" i="4"/>
  <c r="F18" i="4"/>
  <c r="F20" i="4"/>
  <c r="F27" i="4"/>
  <c r="F28" i="4"/>
  <c r="F33" i="4"/>
  <c r="F36" i="4"/>
  <c r="D11" i="1"/>
  <c r="C11" i="1"/>
  <c r="D9" i="1"/>
  <c r="C9" i="1"/>
  <c r="C9" i="5"/>
  <c r="G26" i="2"/>
  <c r="K4" i="6"/>
  <c r="B5" i="6"/>
  <c r="E26" i="2"/>
  <c r="E4" i="6"/>
  <c r="G39" i="4"/>
  <c r="B8" i="6"/>
  <c r="G41" i="4"/>
  <c r="F26" i="2"/>
  <c r="E39" i="4"/>
  <c r="E41" i="4"/>
  <c r="F39" i="4"/>
  <c r="F4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Colby, Malorie (UMKC-Student)</author>
  </authors>
  <commentList>
    <comment ref="D13" authorId="0" shapeId="0" xr:uid="{17833EA3-4FD7-2847-B989-5990756C354A}">
      <text>
        <r>
          <rPr>
            <b/>
            <sz val="10"/>
            <color rgb="FF000000"/>
            <rFont val="Tahoma"/>
            <family val="2"/>
          </rPr>
          <t>Doubled because we are recognizing both the sales price and what I pay to the seller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Colby, Malorie (UMKC-Student)</author>
  </authors>
  <commentList>
    <comment ref="B11" authorId="0" shapeId="0" xr:uid="{1A2C41F0-AE8E-C44D-B310-995C87726705}">
      <text>
        <r>
          <rPr>
            <b/>
            <sz val="10"/>
            <color rgb="FF000000"/>
            <rFont val="Tahoma"/>
            <family val="2"/>
          </rPr>
          <t>Service of Transporting the items from their place to mine, Maintainence on Items, Reale/consignment cost</t>
        </r>
      </text>
    </comment>
    <comment ref="B12" authorId="0" shapeId="0" xr:uid="{6162BEAD-50AF-0947-BCDB-FECE563BEFFF}">
      <text>
        <r>
          <rPr>
            <b/>
            <sz val="10"/>
            <color rgb="FF000000"/>
            <rFont val="Tahoma"/>
            <family val="2"/>
          </rPr>
          <t>Salaries and Wages, Management Pay, and Service Providers pay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B13" authorId="0" shapeId="0" xr:uid="{3E7AAB25-F21A-F649-B906-CB8F8F68205F}">
      <text>
        <r>
          <rPr>
            <b/>
            <sz val="12"/>
            <color rgb="FF000000"/>
            <rFont val="Calibri"/>
            <family val="2"/>
          </rPr>
          <t>Accountant, Liabilities, Lawyer, etc.</t>
        </r>
      </text>
    </comment>
    <comment ref="B17" authorId="0" shapeId="0" xr:uid="{D2A74E80-2AE8-2148-91DB-2A578C8FDBF7}">
      <text>
        <r>
          <rPr>
            <b/>
            <sz val="10"/>
            <color rgb="FF000000"/>
            <rFont val="Tahoma"/>
            <family val="2"/>
          </rPr>
          <t>Rent to William Jewell, Utilities, Salary to myself, Bonuses</t>
        </r>
      </text>
    </comment>
    <comment ref="B18" authorId="0" shapeId="0" xr:uid="{2A1D2756-7CD0-9345-A254-103A5E6F44FA}">
      <text>
        <r>
          <rPr>
            <b/>
            <sz val="12"/>
            <color rgb="FF000000"/>
            <rFont val="Calibri"/>
            <family val="2"/>
            <scheme val="minor"/>
          </rPr>
          <t>Register/Online Technology</t>
        </r>
        <r>
          <rPr>
            <sz val="12"/>
            <color rgb="FF000000"/>
            <rFont val="Calibri"/>
            <family val="2"/>
            <scheme val="minor"/>
          </rPr>
          <t xml:space="preserve">
</t>
        </r>
      </text>
    </comment>
    <comment ref="B20" authorId="0" shapeId="0" xr:uid="{B1661760-40E7-D14F-9105-8201F86151B4}">
      <text>
        <r>
          <rPr>
            <b/>
            <sz val="12"/>
            <color rgb="FF000000"/>
            <rFont val="Calibri"/>
            <family val="2"/>
            <scheme val="minor"/>
          </rPr>
          <t>Register, Table, Shelves</t>
        </r>
        <r>
          <rPr>
            <sz val="12"/>
            <color rgb="FF000000"/>
            <rFont val="Calibri"/>
            <family val="2"/>
            <scheme val="minor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<sst xmlns="http://schemas.openxmlformats.org/spreadsheetml/2006/main" count="99" uniqueCount="95">
  <si>
    <t>Profitability Ratios</t>
  </si>
  <si>
    <t>Asset Utilization Ratios</t>
  </si>
  <si>
    <t>Liquidity Ratios</t>
  </si>
  <si>
    <t>Debt Utilization Ratios</t>
  </si>
  <si>
    <t>Pro Forma Income Statement</t>
  </si>
  <si>
    <t>Revenue:</t>
  </si>
  <si>
    <t>Cost of Goods Sold:</t>
  </si>
  <si>
    <t>Operating Expenses:</t>
  </si>
  <si>
    <t>EPS</t>
  </si>
  <si>
    <t xml:space="preserve">Net Income    </t>
  </si>
  <si>
    <t>Statement of Cash Flows</t>
  </si>
  <si>
    <t>Cash Flows from Operating Activities</t>
  </si>
  <si>
    <t>Net Income</t>
  </si>
  <si>
    <t>Add: Depreciation</t>
  </si>
  <si>
    <t>Cash Flows from Financing Activities</t>
  </si>
  <si>
    <t>Increase (decrease) in Cash</t>
  </si>
  <si>
    <t>Balance Sheet</t>
  </si>
  <si>
    <t>Assets:</t>
  </si>
  <si>
    <t>Total Current Assets</t>
  </si>
  <si>
    <t>Other Assets</t>
  </si>
  <si>
    <t>Total Assets</t>
  </si>
  <si>
    <t>Liabilities:</t>
  </si>
  <si>
    <t>Total Current Liabilities</t>
  </si>
  <si>
    <t>Other Liabilities</t>
  </si>
  <si>
    <t>Total Liabilities</t>
  </si>
  <si>
    <t>Stockholder's Equity:</t>
  </si>
  <si>
    <t>Common Stock</t>
  </si>
  <si>
    <t>Retained Earnings</t>
  </si>
  <si>
    <t>Total Stockholder's Equity</t>
  </si>
  <si>
    <t>Total Liabilities &amp; Stockholder's Equity</t>
  </si>
  <si>
    <t>Breakeven:</t>
  </si>
  <si>
    <t>Fixed Costs/Contribution Margin</t>
  </si>
  <si>
    <t>FC / CM (Sales price per unit - VC)</t>
  </si>
  <si>
    <t>Fixed Cost</t>
  </si>
  <si>
    <t>Variable Cost</t>
  </si>
  <si>
    <t>Calculation:</t>
  </si>
  <si>
    <t>Sales Forcast</t>
  </si>
  <si>
    <t>For Years 2021-2023</t>
  </si>
  <si>
    <t>Price</t>
  </si>
  <si>
    <t>Inflow of Cash</t>
  </si>
  <si>
    <t>Profit Margin</t>
  </si>
  <si>
    <t>Inv Turnover</t>
  </si>
  <si>
    <t>Current Ratio</t>
  </si>
  <si>
    <t>Debt to Assets</t>
  </si>
  <si>
    <t>Materials</t>
  </si>
  <si>
    <t>Labor</t>
  </si>
  <si>
    <t>Overhead</t>
  </si>
  <si>
    <t>Selling Expense</t>
  </si>
  <si>
    <t>Taxes on the Income (30%)</t>
  </si>
  <si>
    <t>For the year ended December 31st, 2022</t>
  </si>
  <si>
    <t>For the year ending December 31st, 2020</t>
  </si>
  <si>
    <t>Sales (Based on Research)</t>
  </si>
  <si>
    <t>Depreciation Expense</t>
  </si>
  <si>
    <t>Building Cost =</t>
  </si>
  <si>
    <t>Depreciation</t>
  </si>
  <si>
    <t>Shares Outstanding</t>
  </si>
  <si>
    <t>Amortized Depreciation</t>
  </si>
  <si>
    <t>Cash</t>
  </si>
  <si>
    <t>Accounts Recievable</t>
  </si>
  <si>
    <t>Inventory</t>
  </si>
  <si>
    <t>Supplies</t>
  </si>
  <si>
    <t>Prepaid Insurance</t>
  </si>
  <si>
    <t>Note Payable</t>
  </si>
  <si>
    <t>Accounts Payable</t>
  </si>
  <si>
    <t>Wages Payable</t>
  </si>
  <si>
    <t>As of December 31st, 2022</t>
  </si>
  <si>
    <t>Current Liabilities:</t>
  </si>
  <si>
    <t>Current Assets:</t>
  </si>
  <si>
    <t>Loan Payable</t>
  </si>
  <si>
    <t>Property &amp; Personal Taxes Payable</t>
  </si>
  <si>
    <t>Cash Flows from Investing Activites</t>
  </si>
  <si>
    <t>Increase in Cash</t>
  </si>
  <si>
    <t>Increase in Supplies</t>
  </si>
  <si>
    <t>Increase in Prepaid Insurance</t>
  </si>
  <si>
    <t>Increase in Inventory</t>
  </si>
  <si>
    <t>Cash Flows Used from Operating Activities</t>
  </si>
  <si>
    <t>Increase in Building</t>
  </si>
  <si>
    <t>Cash Flows Used from Investing Activites</t>
  </si>
  <si>
    <t>Cash Balance December 31st, 2020</t>
  </si>
  <si>
    <t>Cash Balance January 1, 2020</t>
  </si>
  <si>
    <t>Sales Price per unit (average)</t>
  </si>
  <si>
    <t>*Explanation in Word Document*</t>
  </si>
  <si>
    <t>Gross Profit:</t>
  </si>
  <si>
    <t>Return on Equity</t>
  </si>
  <si>
    <t>EBIT</t>
  </si>
  <si>
    <t>Avg Sales Price</t>
  </si>
  <si>
    <t>Year 1 (2020)</t>
  </si>
  <si>
    <t>Year 2 (2021)</t>
  </si>
  <si>
    <t>Year 3 (2022)</t>
  </si>
  <si>
    <t>Sales in Units</t>
  </si>
  <si>
    <t>Based on 2020</t>
  </si>
  <si>
    <t>Fixture Expense</t>
  </si>
  <si>
    <t>Building / Fixtures</t>
  </si>
  <si>
    <t>General/Admin Expense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</si>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</sst>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44" fontId="0" fillId="0" borderId="0" xfId="1" applyFont="1"/>
    <xf numFmtId="164" fontId="0" fillId="0" borderId="0" xfId="1" applyNumberFormat="1" applyFont="1"/>
    <xf numFmtId="164" fontId="0" fillId="0" borderId="0" xfId="0" applyNumberFormat="1"/>
    <xf numFmtId="0" fontId="0" fillId="0" borderId="2" xfId="0" applyBorder="1"/>
    <xf numFmtId="6" fontId="0" fillId="0" borderId="3" xfId="0" applyNumberFormat="1" applyBorder="1"/>
    <xf numFmtId="0" fontId="0" fillId="0" borderId="4" xfId="0" applyBorder="1"/>
    <xf numFmtId="6" fontId="0" fillId="0" borderId="5" xfId="0" applyNumberFormat="1" applyBorder="1"/>
    <xf numFmtId="0" fontId="0" fillId="0" borderId="6" xfId="0" applyBorder="1"/>
    <xf numFmtId="10" fontId="0" fillId="0" borderId="7" xfId="0" applyNumberFormat="1" applyBorder="1"/>
    <xf numFmtId="0" fontId="0" fillId="0" borderId="0" xfId="1" applyNumberFormat="1" applyFont="1"/>
    <xf numFmtId="3" fontId="0" fillId="0" borderId="0" xfId="1" applyNumberFormat="1" applyFont="1"/>
    <xf numFmtId="44" fontId="0" fillId="0" borderId="0" xfId="1" applyNumberFormat="1" applyFont="1"/>
    <xf numFmtId="0" fontId="0" fillId="0" borderId="8" xfId="0" applyBorder="1"/>
    <xf numFmtId="0" fontId="0" fillId="0" borderId="1" xfId="0" applyBorder="1"/>
    <xf numFmtId="0" fontId="0" fillId="0" borderId="0" xfId="0" applyBorder="1"/>
    <xf numFmtId="164" fontId="0" fillId="0" borderId="0" xfId="1" applyNumberFormat="1" applyFont="1" applyBorder="1"/>
    <xf numFmtId="164" fontId="0" fillId="0" borderId="8" xfId="1" applyNumberFormat="1" applyFont="1" applyBorder="1"/>
    <xf numFmtId="164" fontId="0" fillId="0" borderId="1" xfId="1" applyNumberFormat="1" applyFont="1" applyBorder="1"/>
    <xf numFmtId="164" fontId="4" fillId="0" borderId="0" xfId="1" applyNumberFormat="1" applyFont="1"/>
    <xf numFmtId="0" fontId="0" fillId="2" borderId="0" xfId="0" applyFill="1"/>
    <xf numFmtId="10" fontId="0" fillId="0" borderId="0" xfId="0" applyNumberFormat="1" applyBorder="1"/>
    <xf numFmtId="2" fontId="0" fillId="0" borderId="0" xfId="0" applyNumberFormat="1"/>
    <xf numFmtId="0" fontId="0" fillId="0" borderId="0" xfId="0" applyFont="1" applyBorder="1" applyAlignment="1"/>
    <xf numFmtId="0" fontId="0" fillId="2" borderId="0" xfId="0" applyFill="1" applyAlignment="1">
      <alignment horizontal="center"/>
    </xf>
    <xf numFmtId="3" fontId="0" fillId="0" borderId="0" xfId="0" applyNumberFormat="1"/>
    <xf numFmtId="164" fontId="10" fillId="0" borderId="0" xfId="2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30A9F-FAE7-D040-953D-AB534A745C27}">
  <dimension ref="A2:F13"/>
  <sheetViews>
    <sheetView topLeftCell="A69" zoomScale="159" workbookViewId="0">
      <selection activeCell="B2" sqref="B2:F2"/>
    </sheetView>
  </sheetViews>
  <sheetFormatPr defaultColWidth="10.8515625" defaultRowHeight="15" x14ac:dyDescent="0.2"/>
  <cols>
    <col min="1" max="1" width="13.19140625" customWidth="1"/>
    <col min="3" max="5" width="15.78125" customWidth="1"/>
  </cols>
  <sheetData>
    <row r="2" spans="1:6" x14ac:dyDescent="0.2">
      <c r="B2" s="35" t="s">
        <v>94</v>
      </c>
      <c r="C2" s="35"/>
      <c r="D2" s="35"/>
      <c r="E2" s="35"/>
      <c r="F2" s="35"/>
    </row>
    <row r="3" spans="1:6" x14ac:dyDescent="0.2">
      <c r="B3" s="35" t="s">
        <v>36</v>
      </c>
      <c r="C3" s="35"/>
      <c r="D3" s="35"/>
      <c r="E3" s="35"/>
      <c r="F3" s="35"/>
    </row>
    <row r="4" spans="1:6" x14ac:dyDescent="0.2">
      <c r="B4" s="35" t="s">
        <v>37</v>
      </c>
      <c r="C4" s="35"/>
      <c r="D4" s="35"/>
      <c r="E4" s="35"/>
      <c r="F4" s="35"/>
    </row>
    <row r="5" spans="1:6" x14ac:dyDescent="0.2">
      <c r="B5" s="1"/>
      <c r="C5" s="1"/>
      <c r="D5" s="1"/>
      <c r="E5" s="1"/>
      <c r="F5" s="1"/>
    </row>
    <row r="6" spans="1:6" x14ac:dyDescent="0.2">
      <c r="C6" s="6" t="s">
        <v>89</v>
      </c>
      <c r="D6" s="6" t="s">
        <v>38</v>
      </c>
      <c r="E6" s="6" t="s">
        <v>39</v>
      </c>
    </row>
    <row r="7" spans="1:6" x14ac:dyDescent="0.2">
      <c r="A7" s="3" t="s">
        <v>86</v>
      </c>
      <c r="C7" s="33">
        <v>10000</v>
      </c>
      <c r="D7" s="9">
        <f>35*2</f>
        <v>70</v>
      </c>
      <c r="E7" s="10">
        <f>C7*D7</f>
        <v>700000</v>
      </c>
    </row>
    <row r="8" spans="1:6" x14ac:dyDescent="0.2">
      <c r="A8" s="3"/>
      <c r="D8" s="9"/>
      <c r="E8" s="10"/>
    </row>
    <row r="9" spans="1:6" x14ac:dyDescent="0.2">
      <c r="A9" s="3" t="s">
        <v>87</v>
      </c>
      <c r="C9" s="33">
        <f>E9/D9</f>
        <v>12187.5</v>
      </c>
      <c r="D9" s="9">
        <f>32*2</f>
        <v>64</v>
      </c>
      <c r="E9" s="10">
        <v>780000</v>
      </c>
    </row>
    <row r="10" spans="1:6" x14ac:dyDescent="0.2">
      <c r="A10" s="3"/>
      <c r="D10" s="9"/>
      <c r="E10" s="10"/>
    </row>
    <row r="11" spans="1:6" x14ac:dyDescent="0.2">
      <c r="A11" s="3" t="s">
        <v>88</v>
      </c>
      <c r="C11" s="33">
        <f>E11/D11</f>
        <v>15000</v>
      </c>
      <c r="D11" s="9">
        <f>30*2</f>
        <v>60</v>
      </c>
      <c r="E11" s="10">
        <v>900000</v>
      </c>
    </row>
    <row r="13" spans="1:6" x14ac:dyDescent="0.2">
      <c r="D13" s="32" t="s">
        <v>85</v>
      </c>
    </row>
  </sheetData>
  <mergeCells count="3">
    <mergeCell ref="B2:F2"/>
    <mergeCell ref="B3:F3"/>
    <mergeCell ref="B4:F4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5015-A3FB-5542-B898-A6B35E004BB0}">
  <dimension ref="B2:I28"/>
  <sheetViews>
    <sheetView tabSelected="1" zoomScale="156" workbookViewId="0">
      <selection activeCell="B2" sqref="B2:G2"/>
    </sheetView>
  </sheetViews>
  <sheetFormatPr defaultColWidth="10.8515625" defaultRowHeight="15" x14ac:dyDescent="0.2"/>
  <cols>
    <col min="1" max="1" width="5.30078125" customWidth="1"/>
    <col min="2" max="2" width="22.8125" customWidth="1"/>
    <col min="5" max="6" width="11.8359375" customWidth="1"/>
    <col min="7" max="7" width="12.82421875" customWidth="1"/>
    <col min="8" max="8" width="15.53515625" customWidth="1"/>
    <col min="9" max="9" width="8.62890625" customWidth="1"/>
  </cols>
  <sheetData>
    <row r="2" spans="2:9" x14ac:dyDescent="0.2">
      <c r="B2" s="35" t="s">
        <v>94</v>
      </c>
      <c r="C2" s="35"/>
      <c r="D2" s="35"/>
      <c r="E2" s="35"/>
      <c r="F2" s="35"/>
      <c r="G2" s="35"/>
    </row>
    <row r="3" spans="2:9" ht="15.95" customHeight="1" x14ac:dyDescent="0.2">
      <c r="B3" s="36" t="s">
        <v>4</v>
      </c>
      <c r="C3" s="36"/>
      <c r="D3" s="36"/>
      <c r="E3" s="36"/>
      <c r="F3" s="36"/>
      <c r="G3" s="36"/>
    </row>
    <row r="4" spans="2:9" x14ac:dyDescent="0.2">
      <c r="B4" s="35" t="s">
        <v>49</v>
      </c>
      <c r="C4" s="35"/>
      <c r="D4" s="35"/>
      <c r="E4" s="35"/>
      <c r="F4" s="35"/>
      <c r="G4" s="35"/>
    </row>
    <row r="6" spans="2:9" x14ac:dyDescent="0.2">
      <c r="D6" s="2"/>
      <c r="E6" s="2">
        <v>2022</v>
      </c>
      <c r="F6" s="2">
        <v>2021</v>
      </c>
      <c r="G6" s="2">
        <v>2020</v>
      </c>
    </row>
    <row r="7" spans="2:9" x14ac:dyDescent="0.2">
      <c r="B7" s="3" t="s">
        <v>5</v>
      </c>
      <c r="E7" s="10">
        <f>'Sales Forcast'!E11</f>
        <v>900000</v>
      </c>
      <c r="F7" s="10">
        <f>'Sales Forcast'!E9</f>
        <v>780000</v>
      </c>
      <c r="G7" s="10">
        <f>'Sales Forcast'!E7</f>
        <v>700000</v>
      </c>
    </row>
    <row r="8" spans="2:9" x14ac:dyDescent="0.2">
      <c r="B8" t="s">
        <v>51</v>
      </c>
      <c r="E8" s="10"/>
      <c r="F8" s="10"/>
      <c r="G8" s="10"/>
    </row>
    <row r="9" spans="2:9" x14ac:dyDescent="0.2">
      <c r="E9" s="10"/>
      <c r="F9" s="10"/>
      <c r="G9" s="10"/>
    </row>
    <row r="10" spans="2:9" x14ac:dyDescent="0.2">
      <c r="B10" s="3" t="s">
        <v>6</v>
      </c>
      <c r="E10" s="10"/>
      <c r="F10" s="10"/>
      <c r="G10" s="10"/>
    </row>
    <row r="11" spans="2:9" x14ac:dyDescent="0.2">
      <c r="B11" t="s">
        <v>44</v>
      </c>
      <c r="E11" s="10">
        <v>50000</v>
      </c>
      <c r="F11" s="10">
        <v>50000</v>
      </c>
      <c r="G11" s="10">
        <f>I11+50000</f>
        <v>115000</v>
      </c>
      <c r="H11" s="12" t="s">
        <v>53</v>
      </c>
      <c r="I11" s="13">
        <v>65000</v>
      </c>
    </row>
    <row r="12" spans="2:9" x14ac:dyDescent="0.2">
      <c r="B12" t="s">
        <v>45</v>
      </c>
      <c r="E12" s="10">
        <v>150000</v>
      </c>
      <c r="F12" s="10">
        <v>125000</v>
      </c>
      <c r="G12" s="10">
        <v>100000</v>
      </c>
      <c r="H12" s="14"/>
      <c r="I12" s="15">
        <f>I11-F19</f>
        <v>62725</v>
      </c>
    </row>
    <row r="13" spans="2:9" x14ac:dyDescent="0.2">
      <c r="B13" t="s">
        <v>46</v>
      </c>
      <c r="E13" s="10">
        <f>100000</f>
        <v>100000</v>
      </c>
      <c r="F13" s="10">
        <f>G13</f>
        <v>50000</v>
      </c>
      <c r="G13" s="10">
        <v>50000</v>
      </c>
      <c r="H13" s="16" t="s">
        <v>54</v>
      </c>
      <c r="I13" s="17">
        <v>3.5000000000000003E-2</v>
      </c>
    </row>
    <row r="14" spans="2:9" x14ac:dyDescent="0.2">
      <c r="B14" s="4" t="s">
        <v>82</v>
      </c>
      <c r="E14" s="26">
        <f>E7-E11-E12-E13</f>
        <v>600000</v>
      </c>
      <c r="F14" s="26">
        <f>F7-F11-F12-F13</f>
        <v>555000</v>
      </c>
      <c r="G14" s="26">
        <f>G7-G11-G12-G13</f>
        <v>435000</v>
      </c>
      <c r="H14" s="23"/>
      <c r="I14" s="29"/>
    </row>
    <row r="15" spans="2:9" x14ac:dyDescent="0.2">
      <c r="E15" s="10"/>
      <c r="F15" s="10"/>
      <c r="G15" s="10"/>
    </row>
    <row r="16" spans="2:9" x14ac:dyDescent="0.2">
      <c r="B16" s="3" t="s">
        <v>7</v>
      </c>
      <c r="E16" s="10"/>
      <c r="F16" s="10"/>
      <c r="G16" s="10"/>
    </row>
    <row r="17" spans="2:7" x14ac:dyDescent="0.2">
      <c r="B17" t="s">
        <v>47</v>
      </c>
      <c r="E17" s="10">
        <v>30000</v>
      </c>
      <c r="F17" s="10">
        <v>27000</v>
      </c>
      <c r="G17" s="10">
        <v>25000</v>
      </c>
    </row>
    <row r="18" spans="2:7" x14ac:dyDescent="0.2">
      <c r="B18" t="s">
        <v>93</v>
      </c>
      <c r="E18" s="10">
        <v>100000</v>
      </c>
      <c r="F18" s="10">
        <v>100000</v>
      </c>
      <c r="G18" s="10">
        <v>45000</v>
      </c>
    </row>
    <row r="19" spans="2:7" x14ac:dyDescent="0.2">
      <c r="B19" t="s">
        <v>52</v>
      </c>
      <c r="E19" s="10">
        <f>I12*0.035</f>
        <v>2195.375</v>
      </c>
      <c r="F19" s="10">
        <f>I11*0.035</f>
        <v>2275</v>
      </c>
      <c r="G19" s="10">
        <v>0</v>
      </c>
    </row>
    <row r="20" spans="2:7" x14ac:dyDescent="0.2">
      <c r="B20" t="s">
        <v>91</v>
      </c>
      <c r="E20" s="10">
        <v>0</v>
      </c>
      <c r="F20" s="10">
        <v>0</v>
      </c>
      <c r="G20" s="10">
        <v>35000</v>
      </c>
    </row>
    <row r="21" spans="2:7" x14ac:dyDescent="0.2">
      <c r="E21" s="10"/>
      <c r="F21" s="10"/>
      <c r="G21" s="10"/>
    </row>
    <row r="22" spans="2:7" x14ac:dyDescent="0.2">
      <c r="B22" t="s">
        <v>84</v>
      </c>
      <c r="E22" s="10">
        <f t="shared" ref="E22:F22" si="0">E14-E17-E18-E19-E20</f>
        <v>467804.625</v>
      </c>
      <c r="F22" s="10">
        <f t="shared" si="0"/>
        <v>425725</v>
      </c>
      <c r="G22" s="10">
        <f>G14-G17-G18-G19-G20</f>
        <v>330000</v>
      </c>
    </row>
    <row r="23" spans="2:7" x14ac:dyDescent="0.2">
      <c r="B23" t="s">
        <v>48</v>
      </c>
      <c r="E23" s="10">
        <f>E22*0.3</f>
        <v>140341.38749999998</v>
      </c>
      <c r="F23" s="10">
        <f>F22*0.3</f>
        <v>127717.5</v>
      </c>
      <c r="G23" s="10">
        <f>G22*0.3</f>
        <v>99000</v>
      </c>
    </row>
    <row r="24" spans="2:7" ht="15.75" thickBot="1" x14ac:dyDescent="0.25">
      <c r="B24" t="s">
        <v>9</v>
      </c>
      <c r="E24" s="25">
        <f>E22-E23</f>
        <v>327463.23750000005</v>
      </c>
      <c r="F24" s="25">
        <f t="shared" ref="F24:G24" si="1">F22-F23</f>
        <v>298007.5</v>
      </c>
      <c r="G24" s="25">
        <f t="shared" si="1"/>
        <v>231000</v>
      </c>
    </row>
    <row r="25" spans="2:7" ht="15.75" thickTop="1" x14ac:dyDescent="0.2">
      <c r="B25" t="s">
        <v>55</v>
      </c>
      <c r="E25" s="19">
        <v>2000</v>
      </c>
      <c r="F25" s="18">
        <v>1000</v>
      </c>
      <c r="G25" s="18">
        <v>0</v>
      </c>
    </row>
    <row r="26" spans="2:7" x14ac:dyDescent="0.2">
      <c r="B26" t="s">
        <v>8</v>
      </c>
      <c r="E26" s="20">
        <f>E24/E25</f>
        <v>163.73161875000002</v>
      </c>
      <c r="F26" s="20">
        <f t="shared" ref="F26" si="2">F24/F25</f>
        <v>298.00749999999999</v>
      </c>
      <c r="G26" s="20">
        <f>G25</f>
        <v>0</v>
      </c>
    </row>
    <row r="27" spans="2:7" x14ac:dyDescent="0.2">
      <c r="E27" s="10"/>
      <c r="F27" s="10"/>
      <c r="G27" s="10"/>
    </row>
    <row r="28" spans="2:7" x14ac:dyDescent="0.2">
      <c r="E28" s="11"/>
      <c r="F28" s="11"/>
      <c r="G28" s="11"/>
    </row>
  </sheetData>
  <mergeCells count="3">
    <mergeCell ref="B2:G2"/>
    <mergeCell ref="B3:G3"/>
    <mergeCell ref="B4:G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DABA8-A891-BD43-877C-56199BE02D1B}">
  <dimension ref="B2:F28"/>
  <sheetViews>
    <sheetView zoomScale="135" workbookViewId="0">
      <selection activeCell="B2" sqref="B2:F2"/>
    </sheetView>
  </sheetViews>
  <sheetFormatPr defaultColWidth="10.8515625" defaultRowHeight="15" x14ac:dyDescent="0.2"/>
  <cols>
    <col min="2" max="2" width="31.1953125" customWidth="1"/>
    <col min="4" max="4" width="12.69921875" bestFit="1" customWidth="1"/>
  </cols>
  <sheetData>
    <row r="2" spans="2:6" x14ac:dyDescent="0.2">
      <c r="B2" s="35" t="s">
        <v>94</v>
      </c>
      <c r="C2" s="35"/>
      <c r="D2" s="35"/>
      <c r="E2" s="35"/>
      <c r="F2" s="35"/>
    </row>
    <row r="3" spans="2:6" x14ac:dyDescent="0.2">
      <c r="B3" s="35" t="s">
        <v>10</v>
      </c>
      <c r="C3" s="35"/>
      <c r="D3" s="35"/>
      <c r="E3" s="35"/>
      <c r="F3" s="35"/>
    </row>
    <row r="4" spans="2:6" x14ac:dyDescent="0.2">
      <c r="B4" s="35" t="s">
        <v>50</v>
      </c>
      <c r="C4" s="35"/>
      <c r="D4" s="35"/>
      <c r="E4" s="35"/>
      <c r="F4" s="35"/>
    </row>
    <row r="5" spans="2:6" x14ac:dyDescent="0.2">
      <c r="B5" s="1"/>
      <c r="C5" s="1"/>
      <c r="D5" s="1"/>
      <c r="E5" s="1"/>
      <c r="F5" s="1"/>
    </row>
    <row r="6" spans="2:6" x14ac:dyDescent="0.2">
      <c r="D6" s="2">
        <v>2020</v>
      </c>
      <c r="E6" s="2"/>
    </row>
    <row r="7" spans="2:6" x14ac:dyDescent="0.2">
      <c r="B7" s="3" t="s">
        <v>11</v>
      </c>
      <c r="C7" s="3"/>
    </row>
    <row r="8" spans="2:6" x14ac:dyDescent="0.2">
      <c r="B8" t="s">
        <v>12</v>
      </c>
      <c r="D8" s="10">
        <f>'Income Statement (Pro Forma)'!G24</f>
        <v>231000</v>
      </c>
    </row>
    <row r="9" spans="2:6" x14ac:dyDescent="0.2">
      <c r="B9" t="s">
        <v>13</v>
      </c>
      <c r="D9" s="10">
        <f>'Income Statement (Pro Forma)'!G19</f>
        <v>0</v>
      </c>
    </row>
    <row r="10" spans="2:6" x14ac:dyDescent="0.2">
      <c r="B10" t="s">
        <v>71</v>
      </c>
      <c r="D10" s="10">
        <f>-('Balance Sheet'!G9)</f>
        <v>-20000</v>
      </c>
    </row>
    <row r="11" spans="2:6" x14ac:dyDescent="0.2">
      <c r="B11" t="s">
        <v>74</v>
      </c>
      <c r="D11" s="10">
        <f>-'Balance Sheet'!G11</f>
        <v>-15000</v>
      </c>
    </row>
    <row r="12" spans="2:6" x14ac:dyDescent="0.2">
      <c r="B12" t="s">
        <v>72</v>
      </c>
      <c r="D12" s="10">
        <f>-'Balance Sheet'!G12</f>
        <v>-15000</v>
      </c>
    </row>
    <row r="13" spans="2:6" x14ac:dyDescent="0.2">
      <c r="B13" t="s">
        <v>73</v>
      </c>
      <c r="D13" s="10">
        <f>-'Balance Sheet'!G13</f>
        <v>-300</v>
      </c>
    </row>
    <row r="14" spans="2:6" x14ac:dyDescent="0.2">
      <c r="B14" s="4" t="s">
        <v>75</v>
      </c>
      <c r="D14" s="26">
        <f>SUM(D8+D9+D10+D11+D12+D13)</f>
        <v>180700</v>
      </c>
    </row>
    <row r="15" spans="2:6" x14ac:dyDescent="0.2">
      <c r="D15" s="10"/>
    </row>
    <row r="16" spans="2:6" x14ac:dyDescent="0.2">
      <c r="B16" s="3" t="s">
        <v>70</v>
      </c>
      <c r="D16" s="10"/>
    </row>
    <row r="17" spans="2:4" x14ac:dyDescent="0.2">
      <c r="B17" t="s">
        <v>76</v>
      </c>
      <c r="D17" s="10">
        <f>-'Balance Sheet'!G17</f>
        <v>-100000</v>
      </c>
    </row>
    <row r="18" spans="2:4" x14ac:dyDescent="0.2">
      <c r="B18" s="4" t="s">
        <v>77</v>
      </c>
      <c r="D18" s="26">
        <f>D17</f>
        <v>-100000</v>
      </c>
    </row>
    <row r="19" spans="2:4" x14ac:dyDescent="0.2">
      <c r="D19" s="10"/>
    </row>
    <row r="20" spans="2:4" x14ac:dyDescent="0.2">
      <c r="B20" s="3" t="s">
        <v>14</v>
      </c>
      <c r="D20" s="10"/>
    </row>
    <row r="21" spans="2:4" x14ac:dyDescent="0.2">
      <c r="B21" s="4" t="s">
        <v>14</v>
      </c>
      <c r="D21" s="26">
        <v>0</v>
      </c>
    </row>
    <row r="22" spans="2:4" x14ac:dyDescent="0.2">
      <c r="D22" s="10"/>
    </row>
    <row r="23" spans="2:4" x14ac:dyDescent="0.2">
      <c r="B23" t="s">
        <v>15</v>
      </c>
      <c r="D23" s="10">
        <f>D14+D18+D21</f>
        <v>80700</v>
      </c>
    </row>
    <row r="24" spans="2:4" x14ac:dyDescent="0.2">
      <c r="B24" t="s">
        <v>79</v>
      </c>
      <c r="D24" s="10">
        <v>0</v>
      </c>
    </row>
    <row r="25" spans="2:4" ht="15.75" thickBot="1" x14ac:dyDescent="0.25">
      <c r="B25" t="s">
        <v>78</v>
      </c>
      <c r="D25" s="25">
        <f>D24+D23</f>
        <v>80700</v>
      </c>
    </row>
    <row r="26" spans="2:4" ht="15.75" thickTop="1" x14ac:dyDescent="0.2">
      <c r="D26" s="11"/>
    </row>
    <row r="27" spans="2:4" x14ac:dyDescent="0.2">
      <c r="D27" s="11"/>
    </row>
    <row r="28" spans="2:4" x14ac:dyDescent="0.2">
      <c r="D28" s="11"/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3B92D-A1D6-2A4C-88E4-E5E4737899D9}">
  <dimension ref="B2:G42"/>
  <sheetViews>
    <sheetView zoomScale="166" workbookViewId="0">
      <selection activeCell="B2" sqref="B2:G2"/>
    </sheetView>
  </sheetViews>
  <sheetFormatPr defaultColWidth="10.8515625" defaultRowHeight="15" x14ac:dyDescent="0.2"/>
  <cols>
    <col min="1" max="1" width="5.546875" customWidth="1"/>
    <col min="2" max="2" width="32.67578125" customWidth="1"/>
    <col min="5" max="7" width="11.8359375" customWidth="1"/>
  </cols>
  <sheetData>
    <row r="2" spans="2:7" x14ac:dyDescent="0.2">
      <c r="B2" s="35" t="s">
        <v>94</v>
      </c>
      <c r="C2" s="35"/>
      <c r="D2" s="35"/>
      <c r="E2" s="35"/>
      <c r="F2" s="35"/>
      <c r="G2" s="35"/>
    </row>
    <row r="3" spans="2:7" x14ac:dyDescent="0.2">
      <c r="B3" s="35" t="s">
        <v>16</v>
      </c>
      <c r="C3" s="35"/>
      <c r="D3" s="35"/>
      <c r="E3" s="35"/>
      <c r="F3" s="35"/>
      <c r="G3" s="35"/>
    </row>
    <row r="4" spans="2:7" x14ac:dyDescent="0.2">
      <c r="B4" s="35" t="s">
        <v>65</v>
      </c>
      <c r="C4" s="35"/>
      <c r="D4" s="35"/>
      <c r="E4" s="35"/>
      <c r="F4" s="35"/>
      <c r="G4" s="35"/>
    </row>
    <row r="5" spans="2:7" x14ac:dyDescent="0.2">
      <c r="B5" s="1"/>
      <c r="C5" s="1"/>
      <c r="D5" s="1"/>
      <c r="E5" s="1"/>
      <c r="F5" s="1"/>
      <c r="G5" s="1"/>
    </row>
    <row r="6" spans="2:7" x14ac:dyDescent="0.2">
      <c r="B6" s="1"/>
      <c r="C6" s="1"/>
      <c r="D6" s="1"/>
      <c r="E6" s="2">
        <v>2022</v>
      </c>
      <c r="F6" s="2">
        <v>2021</v>
      </c>
      <c r="G6" s="2">
        <v>2020</v>
      </c>
    </row>
    <row r="7" spans="2:7" x14ac:dyDescent="0.2">
      <c r="B7" s="3" t="s">
        <v>17</v>
      </c>
    </row>
    <row r="8" spans="2:7" x14ac:dyDescent="0.2">
      <c r="B8" s="4" t="s">
        <v>67</v>
      </c>
    </row>
    <row r="9" spans="2:7" x14ac:dyDescent="0.2">
      <c r="B9" t="s">
        <v>57</v>
      </c>
      <c r="E9" s="10">
        <v>300000</v>
      </c>
      <c r="F9" s="10">
        <v>150000</v>
      </c>
      <c r="G9" s="10">
        <v>20000</v>
      </c>
    </row>
    <row r="10" spans="2:7" x14ac:dyDescent="0.2">
      <c r="B10" t="s">
        <v>58</v>
      </c>
      <c r="E10" s="10">
        <v>25000</v>
      </c>
      <c r="F10" s="10">
        <v>25000</v>
      </c>
      <c r="G10" s="10">
        <v>0</v>
      </c>
    </row>
    <row r="11" spans="2:7" x14ac:dyDescent="0.2">
      <c r="B11" t="s">
        <v>59</v>
      </c>
      <c r="E11" s="10">
        <v>20000</v>
      </c>
      <c r="F11" s="10">
        <v>20000</v>
      </c>
      <c r="G11" s="10">
        <v>15000</v>
      </c>
    </row>
    <row r="12" spans="2:7" x14ac:dyDescent="0.2">
      <c r="B12" t="s">
        <v>60</v>
      </c>
      <c r="E12" s="10">
        <v>15000</v>
      </c>
      <c r="F12" s="10">
        <v>15000</v>
      </c>
      <c r="G12" s="10">
        <v>15000</v>
      </c>
    </row>
    <row r="13" spans="2:7" x14ac:dyDescent="0.2">
      <c r="B13" t="s">
        <v>61</v>
      </c>
      <c r="E13" s="10">
        <f>25*12</f>
        <v>300</v>
      </c>
      <c r="F13" s="10">
        <f>25*12</f>
        <v>300</v>
      </c>
      <c r="G13" s="10">
        <f>25*12</f>
        <v>300</v>
      </c>
    </row>
    <row r="14" spans="2:7" x14ac:dyDescent="0.2">
      <c r="B14" s="23" t="s">
        <v>18</v>
      </c>
      <c r="E14" s="24">
        <f>SUM(E9:E13)</f>
        <v>360300</v>
      </c>
      <c r="F14" s="24">
        <f t="shared" ref="F14:G14" si="0">SUM(F9:F13)</f>
        <v>210300</v>
      </c>
      <c r="G14" s="24">
        <f t="shared" si="0"/>
        <v>50300</v>
      </c>
    </row>
    <row r="15" spans="2:7" x14ac:dyDescent="0.2">
      <c r="E15" s="10"/>
      <c r="F15" s="10"/>
      <c r="G15" s="10"/>
    </row>
    <row r="16" spans="2:7" x14ac:dyDescent="0.2">
      <c r="B16" s="3" t="s">
        <v>19</v>
      </c>
      <c r="E16" s="10"/>
      <c r="F16" s="10"/>
      <c r="G16" s="10"/>
    </row>
    <row r="17" spans="2:7" x14ac:dyDescent="0.2">
      <c r="B17" t="s">
        <v>92</v>
      </c>
      <c r="E17" s="10">
        <v>0</v>
      </c>
      <c r="F17" s="10">
        <v>0</v>
      </c>
      <c r="G17" s="10">
        <f>'Income Statement (Pro Forma)'!I11+'Income Statement (Pro Forma)'!G20</f>
        <v>100000</v>
      </c>
    </row>
    <row r="18" spans="2:7" x14ac:dyDescent="0.2">
      <c r="B18" t="s">
        <v>56</v>
      </c>
      <c r="E18" s="27">
        <f>'Income Statement (Pro Forma)'!E19</f>
        <v>2195.375</v>
      </c>
      <c r="F18" s="27">
        <f>'Income Statement (Pro Forma)'!F19</f>
        <v>2275</v>
      </c>
      <c r="G18" s="27">
        <f>'Income Statement (Pro Forma)'!G19</f>
        <v>0</v>
      </c>
    </row>
    <row r="19" spans="2:7" x14ac:dyDescent="0.2">
      <c r="E19" s="10"/>
      <c r="F19" s="10"/>
      <c r="G19" s="10"/>
    </row>
    <row r="20" spans="2:7" ht="15.75" thickBot="1" x14ac:dyDescent="0.25">
      <c r="B20" s="21" t="s">
        <v>20</v>
      </c>
      <c r="E20" s="25">
        <f>SUM(E9+E10+E11+E12+E13+E14+E17-E18)</f>
        <v>718404.625</v>
      </c>
      <c r="F20" s="25">
        <f>SUM(F9+F10+F11+F12+F13+F14+F17-F18)</f>
        <v>418325</v>
      </c>
      <c r="G20" s="25">
        <f>SUM(G9+G10+G11+G12+G13+G14+G17-G18)</f>
        <v>200600</v>
      </c>
    </row>
    <row r="21" spans="2:7" ht="15.75" thickTop="1" x14ac:dyDescent="0.2">
      <c r="E21" s="10"/>
      <c r="F21" s="10"/>
      <c r="G21" s="10"/>
    </row>
    <row r="22" spans="2:7" x14ac:dyDescent="0.2">
      <c r="B22" s="3" t="s">
        <v>21</v>
      </c>
      <c r="E22" s="10"/>
      <c r="F22" s="10"/>
      <c r="G22" s="10"/>
    </row>
    <row r="23" spans="2:7" x14ac:dyDescent="0.2">
      <c r="B23" s="4" t="s">
        <v>66</v>
      </c>
      <c r="E23" s="10"/>
      <c r="F23" s="10"/>
      <c r="G23" s="10"/>
    </row>
    <row r="24" spans="2:7" x14ac:dyDescent="0.2">
      <c r="B24" t="s">
        <v>62</v>
      </c>
      <c r="E24" s="10">
        <v>0</v>
      </c>
      <c r="F24" s="10">
        <v>0</v>
      </c>
      <c r="G24" s="10">
        <v>10000</v>
      </c>
    </row>
    <row r="25" spans="2:7" x14ac:dyDescent="0.2">
      <c r="B25" t="s">
        <v>63</v>
      </c>
      <c r="E25" s="10">
        <v>15000</v>
      </c>
      <c r="F25" s="10">
        <v>0</v>
      </c>
      <c r="G25" s="10">
        <v>15000</v>
      </c>
    </row>
    <row r="26" spans="2:7" x14ac:dyDescent="0.2">
      <c r="B26" t="s">
        <v>64</v>
      </c>
      <c r="E26" s="10">
        <v>25000</v>
      </c>
      <c r="F26" s="10">
        <v>25000</v>
      </c>
      <c r="G26" s="10">
        <v>20000</v>
      </c>
    </row>
    <row r="27" spans="2:7" x14ac:dyDescent="0.2">
      <c r="B27" t="s">
        <v>69</v>
      </c>
      <c r="E27" s="10">
        <f>'Income Statement (Pro Forma)'!E23</f>
        <v>140341.38749999998</v>
      </c>
      <c r="F27" s="10">
        <f>'Income Statement (Pro Forma)'!F23</f>
        <v>127717.5</v>
      </c>
      <c r="G27" s="10">
        <f>'Income Statement (Pro Forma)'!G23</f>
        <v>99000</v>
      </c>
    </row>
    <row r="28" spans="2:7" x14ac:dyDescent="0.2">
      <c r="B28" t="s">
        <v>22</v>
      </c>
      <c r="E28" s="10">
        <f>SUM(E24:E27)</f>
        <v>180341.38749999998</v>
      </c>
      <c r="F28" s="10">
        <f t="shared" ref="F28:G28" si="1">SUM(F24:F27)</f>
        <v>152717.5</v>
      </c>
      <c r="G28" s="10">
        <f t="shared" si="1"/>
        <v>144000</v>
      </c>
    </row>
    <row r="29" spans="2:7" x14ac:dyDescent="0.2">
      <c r="E29" s="10"/>
      <c r="F29" s="10"/>
      <c r="G29" s="10"/>
    </row>
    <row r="30" spans="2:7" x14ac:dyDescent="0.2">
      <c r="B30" s="3" t="s">
        <v>23</v>
      </c>
      <c r="E30" s="10"/>
      <c r="F30" s="10"/>
      <c r="G30" s="10"/>
    </row>
    <row r="31" spans="2:7" x14ac:dyDescent="0.2">
      <c r="B31" t="s">
        <v>68</v>
      </c>
      <c r="E31" s="10">
        <v>0</v>
      </c>
      <c r="F31" s="10">
        <v>25000</v>
      </c>
      <c r="G31" s="10">
        <v>25000</v>
      </c>
    </row>
    <row r="32" spans="2:7" x14ac:dyDescent="0.2">
      <c r="E32" s="10"/>
      <c r="F32" s="10"/>
      <c r="G32" s="10"/>
    </row>
    <row r="33" spans="2:7" x14ac:dyDescent="0.2">
      <c r="B33" s="22" t="s">
        <v>24</v>
      </c>
      <c r="E33" s="26">
        <f>SUM(E24+E25+E26+E27+E28+E31)</f>
        <v>360682.77499999997</v>
      </c>
      <c r="F33" s="26">
        <f t="shared" ref="F33:G33" si="2">SUM(F24+F25+F26+F27+F28+F31)</f>
        <v>330435</v>
      </c>
      <c r="G33" s="26">
        <f t="shared" si="2"/>
        <v>313000</v>
      </c>
    </row>
    <row r="34" spans="2:7" x14ac:dyDescent="0.2">
      <c r="E34" s="10"/>
      <c r="F34" s="10"/>
      <c r="G34" s="10"/>
    </row>
    <row r="35" spans="2:7" x14ac:dyDescent="0.2">
      <c r="B35" s="3" t="s">
        <v>25</v>
      </c>
      <c r="E35" s="10"/>
      <c r="F35" s="10"/>
      <c r="G35" s="10"/>
    </row>
    <row r="36" spans="2:7" x14ac:dyDescent="0.2">
      <c r="B36" t="s">
        <v>26</v>
      </c>
      <c r="E36" s="10">
        <f>E20-E33-E37</f>
        <v>97266.112499999988</v>
      </c>
      <c r="F36" s="10">
        <f>F20-F33-F37</f>
        <v>20882.5</v>
      </c>
      <c r="G36" s="10">
        <f>G20-G33-G37</f>
        <v>-343400</v>
      </c>
    </row>
    <row r="37" spans="2:7" x14ac:dyDescent="0.2">
      <c r="B37" t="s">
        <v>27</v>
      </c>
      <c r="E37" s="10">
        <f>'Income Statement (Pro Forma)'!E24-'Balance Sheet'!F37</f>
        <v>260455.73750000005</v>
      </c>
      <c r="F37" s="10">
        <f>'Income Statement (Pro Forma)'!F24-'Balance Sheet'!G37</f>
        <v>67007.5</v>
      </c>
      <c r="G37" s="10">
        <f>'Income Statement (Pro Forma)'!G24</f>
        <v>231000</v>
      </c>
    </row>
    <row r="38" spans="2:7" x14ac:dyDescent="0.2">
      <c r="E38" s="10"/>
      <c r="F38" s="10"/>
      <c r="G38" s="34"/>
    </row>
    <row r="39" spans="2:7" x14ac:dyDescent="0.2">
      <c r="B39" s="22" t="s">
        <v>28</v>
      </c>
      <c r="E39" s="26">
        <f>SUM(E36:E37)</f>
        <v>357721.85000000003</v>
      </c>
      <c r="F39" s="26">
        <f>SUM(F36:F37)</f>
        <v>87890</v>
      </c>
      <c r="G39" s="26">
        <f>SUM(G36:G37)</f>
        <v>-112400</v>
      </c>
    </row>
    <row r="40" spans="2:7" x14ac:dyDescent="0.2">
      <c r="E40" s="10"/>
      <c r="F40" s="10"/>
      <c r="G40" s="10"/>
    </row>
    <row r="41" spans="2:7" ht="15.75" thickBot="1" x14ac:dyDescent="0.25">
      <c r="B41" s="21" t="s">
        <v>29</v>
      </c>
      <c r="E41" s="25">
        <f>SUM(E33+E39)</f>
        <v>718404.625</v>
      </c>
      <c r="F41" s="25">
        <f>F33+F39</f>
        <v>418325</v>
      </c>
      <c r="G41" s="25">
        <f>SUM(G33+G39)</f>
        <v>200600</v>
      </c>
    </row>
    <row r="42" spans="2:7" ht="15.75" thickTop="1" x14ac:dyDescent="0.2"/>
  </sheetData>
  <mergeCells count="3">
    <mergeCell ref="B2:G2"/>
    <mergeCell ref="B3:G3"/>
    <mergeCell ref="B4:G4"/>
  </mergeCells>
  <pageMargins left="0.7" right="0.7" top="0.75" bottom="0.75" header="0.3" footer="0.3"/>
  <ignoredErrors>
    <ignoredError sqref="F4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75C0F-293E-FB48-A96D-DE3BF10B192C}">
  <dimension ref="B2:C11"/>
  <sheetViews>
    <sheetView zoomScale="183" workbookViewId="0">
      <selection activeCell="C7" sqref="C7"/>
    </sheetView>
  </sheetViews>
  <sheetFormatPr defaultColWidth="10.8515625" defaultRowHeight="15" x14ac:dyDescent="0.2"/>
  <cols>
    <col min="1" max="1" width="4.80859375" customWidth="1"/>
    <col min="2" max="2" width="25.03125" customWidth="1"/>
    <col min="3" max="3" width="28.85546875" customWidth="1"/>
  </cols>
  <sheetData>
    <row r="2" spans="2:3" x14ac:dyDescent="0.2">
      <c r="B2" s="3" t="s">
        <v>30</v>
      </c>
      <c r="C2" t="s">
        <v>32</v>
      </c>
    </row>
    <row r="3" spans="2:3" x14ac:dyDescent="0.2">
      <c r="C3" t="s">
        <v>31</v>
      </c>
    </row>
    <row r="5" spans="2:3" x14ac:dyDescent="0.2">
      <c r="B5" s="4" t="s">
        <v>33</v>
      </c>
      <c r="C5" s="9">
        <v>50</v>
      </c>
    </row>
    <row r="6" spans="2:3" x14ac:dyDescent="0.2">
      <c r="B6" s="4" t="s">
        <v>80</v>
      </c>
      <c r="C6" s="9">
        <v>65</v>
      </c>
    </row>
    <row r="7" spans="2:3" x14ac:dyDescent="0.2">
      <c r="B7" s="4" t="s">
        <v>34</v>
      </c>
      <c r="C7" s="9">
        <v>30</v>
      </c>
    </row>
    <row r="9" spans="2:3" x14ac:dyDescent="0.2">
      <c r="B9" s="5" t="s">
        <v>35</v>
      </c>
      <c r="C9" s="28">
        <f>C5/(C6-C7)</f>
        <v>1.4285714285714286</v>
      </c>
    </row>
    <row r="11" spans="2:3" x14ac:dyDescent="0.2">
      <c r="B11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8FAAD-1B4D-0D43-97CB-F7FCC7135F2C}">
  <dimension ref="A1:K13"/>
  <sheetViews>
    <sheetView zoomScale="161" workbookViewId="0">
      <selection activeCell="K4" sqref="K4"/>
    </sheetView>
  </sheetViews>
  <sheetFormatPr defaultColWidth="10.8515625" defaultRowHeight="15" x14ac:dyDescent="0.2"/>
  <cols>
    <col min="1" max="1" width="15.2890625" customWidth="1"/>
    <col min="4" max="4" width="12.69921875" customWidth="1"/>
    <col min="7" max="7" width="15.04296875" customWidth="1"/>
    <col min="10" max="10" width="13.6875" customWidth="1"/>
  </cols>
  <sheetData>
    <row r="1" spans="1:11" x14ac:dyDescent="0.2">
      <c r="A1" s="2" t="s">
        <v>90</v>
      </c>
    </row>
    <row r="3" spans="1:11" x14ac:dyDescent="0.2">
      <c r="A3" s="37" t="s">
        <v>0</v>
      </c>
      <c r="B3" s="37"/>
      <c r="D3" s="37" t="s">
        <v>3</v>
      </c>
      <c r="E3" s="37"/>
      <c r="F3" s="7"/>
      <c r="G3" s="37" t="s">
        <v>2</v>
      </c>
      <c r="H3" s="37"/>
      <c r="J3" s="37" t="s">
        <v>1</v>
      </c>
      <c r="K3" s="37"/>
    </row>
    <row r="4" spans="1:11" x14ac:dyDescent="0.2">
      <c r="D4" s="28" t="s">
        <v>43</v>
      </c>
      <c r="E4" s="28">
        <f>'Balance Sheet'!G33/'Balance Sheet'!G14</f>
        <v>6.2226640159045727</v>
      </c>
      <c r="G4" s="28" t="s">
        <v>42</v>
      </c>
      <c r="H4" s="28">
        <f>'Balance Sheet'!G14/'Balance Sheet'!G28</f>
        <v>0.34930555555555554</v>
      </c>
      <c r="J4" s="28" t="s">
        <v>41</v>
      </c>
      <c r="K4" s="28">
        <f>'Income Statement (Pro Forma)'!G14/'Balance Sheet'!G11</f>
        <v>29</v>
      </c>
    </row>
    <row r="5" spans="1:11" x14ac:dyDescent="0.2">
      <c r="A5" t="s">
        <v>40</v>
      </c>
      <c r="B5" s="30" t="e">
        <f>'Income Statement (Pro Forma)'!G8-'Income Statement (Pro Forma)'!G14/'Income Statement (Pro Forma)'!G8</f>
        <v>#DIV/0!</v>
      </c>
    </row>
    <row r="8" spans="1:11" x14ac:dyDescent="0.2">
      <c r="A8" s="28" t="s">
        <v>83</v>
      </c>
      <c r="B8" s="28">
        <f>'Income Statement (Pro Forma)'!G24/'Balance Sheet'!G39</f>
        <v>-2.0551601423487544</v>
      </c>
    </row>
    <row r="12" spans="1:11" x14ac:dyDescent="0.2">
      <c r="A12" s="8"/>
    </row>
    <row r="13" spans="1:11" x14ac:dyDescent="0.2">
      <c r="A13" s="8"/>
      <c r="B13" s="8"/>
      <c r="G13" s="31"/>
      <c r="H13" s="31"/>
    </row>
  </sheetData>
  <mergeCells count="4">
    <mergeCell ref="J3:K3"/>
    <mergeCell ref="A3:B3"/>
    <mergeCell ref="G3:H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Sales Forcast</vt:lpstr>
      <vt:lpstr>Income Statement (Pro Forma)</vt:lpstr>
      <vt:lpstr>Statement of Cash Flows</vt:lpstr>
      <vt:lpstr>Balance Sheet</vt:lpstr>
      <vt:lpstr>Breakeven Analysis</vt:lpstr>
      <vt:lpstr>Financial Ratios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Colby, Malorie (UMKC-Student)</dc:creator>
  <cp:lastModifiedBy>Microsoft Office User</cp:lastModifiedBy>
  <dcterms:created xsi:type="dcterms:W3CDTF">2020-10-06T21:04:01Z</dcterms:created>
  <dcterms:modified xsi:type="dcterms:W3CDTF">2021-02-12T16:16:05Z</dcterms:modified>
</cp:coreProperties>
</file>